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<sst xmlns="http://schemas.openxmlformats.org/spreadsheetml/2006/main" count="163" uniqueCount="112">
  <si>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</si>
  <si>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</si>
  <si>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</si>
  <si>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</si>
  <si>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</si>
  <si>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</si>
  <si>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</si>
  <si>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</si>
  <si>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</si>
  <si>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</si>
  <si>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</si>
  <si>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</si>
  <si>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</si>
  <si>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</si>
  <si>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</si>
  <si>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</si>
  <si>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</si>
  <si>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</si>
  <si>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</si>
  <si>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</si>
  <si>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</si>
  <si>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</si>
  <si>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</si>
  <si>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</si>
  <si>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</si>
  <si>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</si>
  <si>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</si>
  <si>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</si>
  <si>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</si>
  <si>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</si>
  <si>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</si>
  <si>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</si>
  <si>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</si>
  <si>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</si>
  <si>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</si>
  <si>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</si>
  <si>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</si>
  <si>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</si>
  <si>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</si>
  <si>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</si>
  <si>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</si>
  <si>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</si>
  <si>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</si>
  <si>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</si>
  <si>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</si>
  <si>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</si>
  <si>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</si>
  <si>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</si>
  <si>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</si>
  <si>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</si>
  <si>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</si>
  <si>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</si>
  <si>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</si>
  <si>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</si>
  <si>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</si>
  <si>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</si>
  <si>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</si>
  <si>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</si>
  <si>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</si>
  <si>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</si>
  <si>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</si>
  <si>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</si>
  <si>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</si>
  <si>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</si>
  <si>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</si>
  <si>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</si>
  <si>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</si>
  <si>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</si>
  <si>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</si>
  <si>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</si>
  <si>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</si>
  <si>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</si>
  <si>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</si>
  <si>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</si>
  <si>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</si>
  <si>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</si>
  <si>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</si>
  <si>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</si>
  <si>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</si>
  <si>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</si>
  <si>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</si>
  <si>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</si>
  <si>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</si>
  <si>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</si>
  <si>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</si>
  <si>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</si>
  <si>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</si>
  <si>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</si>
  <si>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</si>
  <si>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</si>
  <si>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</si>
  <si>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</si>
  <si>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</si>
  <si>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</si>
  <si>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</si>
  <si>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</si>
  <si>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</si>
  <si>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</si>
  <si>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</si>
  <si>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</si>
  <si>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</si>
  <si>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</si>
  <si>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</si>
  <si>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</si>
  <si>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</si>
  <si>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</si>
  <si>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</si>
  <si>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</si>
  <si>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</si>
  <si>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</si>
  <si>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</si>
  <si>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загального фонду міського бюджету станом на 28.08.2017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</si>
</sst>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72150.50000000001</c:v>
                </c:pt>
                <c:pt idx="1">
                  <c:v>67074.2</c:v>
                </c:pt>
                <c:pt idx="2">
                  <c:v>1293.6000000000001</c:v>
                </c:pt>
                <c:pt idx="3">
                  <c:v>3782.700000000017</c:v>
                </c:pt>
              </c:numCache>
            </c:numRef>
          </c:val>
          <c:shape val="box"/>
        </c:ser>
        <c:shape val="box"/>
        <c:axId val="38553148"/>
        <c:axId val="11434013"/>
      </c:bar3DChart>
      <c:catAx>
        <c:axId val="38553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4013"/>
        <c:crosses val="autoZero"/>
        <c:auto val="1"/>
        <c:lblOffset val="100"/>
        <c:tickLblSkip val="1"/>
        <c:noMultiLvlLbl val="0"/>
      </c:catAx>
      <c:valAx>
        <c:axId val="11434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31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639727.9999999999</c:v>
                </c:pt>
                <c:pt idx="1">
                  <c:v>243536.9</c:v>
                </c:pt>
                <c:pt idx="2">
                  <c:v>497488.5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19756.399999999885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372964.29999999993</c:v>
                </c:pt>
                <c:pt idx="1">
                  <c:v>142332.6</c:v>
                </c:pt>
                <c:pt idx="2">
                  <c:v>295886.79999999993</c:v>
                </c:pt>
                <c:pt idx="3">
                  <c:v>23.1</c:v>
                </c:pt>
                <c:pt idx="4">
                  <c:v>18228.699999999997</c:v>
                </c:pt>
                <c:pt idx="5">
                  <c:v>45645.600000000006</c:v>
                </c:pt>
                <c:pt idx="6">
                  <c:v>7415.599999999999</c:v>
                </c:pt>
                <c:pt idx="7">
                  <c:v>5764.499999999992</c:v>
                </c:pt>
              </c:numCache>
            </c:numRef>
          </c:val>
          <c:shape val="box"/>
        </c:ser>
        <c:shape val="box"/>
        <c:axId val="35797254"/>
        <c:axId val="53739831"/>
      </c:bar3DChart>
      <c:catAx>
        <c:axId val="35797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39831"/>
        <c:crosses val="autoZero"/>
        <c:auto val="1"/>
        <c:lblOffset val="100"/>
        <c:tickLblSkip val="1"/>
        <c:noMultiLvlLbl val="0"/>
      </c:catAx>
      <c:valAx>
        <c:axId val="53739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97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229576.10000000003</c:v>
                </c:pt>
                <c:pt idx="1">
                  <c:v>148474.70000000004</c:v>
                </c:pt>
                <c:pt idx="2">
                  <c:v>229576.10000000003</c:v>
                </c:pt>
              </c:numCache>
            </c:numRef>
          </c:val>
          <c:shape val="box"/>
        </c:ser>
        <c:shape val="box"/>
        <c:axId val="13896432"/>
        <c:axId val="57959025"/>
      </c:bar3DChart>
      <c:catAx>
        <c:axId val="13896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59025"/>
        <c:crosses val="autoZero"/>
        <c:auto val="1"/>
        <c:lblOffset val="100"/>
        <c:tickLblSkip val="1"/>
        <c:noMultiLvlLbl val="0"/>
      </c:catAx>
      <c:valAx>
        <c:axId val="57959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6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64445.8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36395.299999999996</c:v>
                </c:pt>
                <c:pt idx="1">
                  <c:v>30438.599999999995</c:v>
                </c:pt>
                <c:pt idx="2">
                  <c:v>1534.7</c:v>
                </c:pt>
                <c:pt idx="3">
                  <c:v>350.3</c:v>
                </c:pt>
                <c:pt idx="4">
                  <c:v>25.5</c:v>
                </c:pt>
                <c:pt idx="5">
                  <c:v>4046.2000000000007</c:v>
                </c:pt>
              </c:numCache>
            </c:numRef>
          </c:val>
          <c:shape val="box"/>
        </c:ser>
        <c:shape val="box"/>
        <c:axId val="51869178"/>
        <c:axId val="64169419"/>
      </c:bar3DChart>
      <c:catAx>
        <c:axId val="51869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69419"/>
        <c:crosses val="autoZero"/>
        <c:auto val="1"/>
        <c:lblOffset val="100"/>
        <c:tickLblSkip val="1"/>
        <c:noMultiLvlLbl val="0"/>
      </c:catAx>
      <c:valAx>
        <c:axId val="64169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69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13495.499999999998</c:v>
                </c:pt>
                <c:pt idx="1">
                  <c:v>8629.3</c:v>
                </c:pt>
                <c:pt idx="3">
                  <c:v>385.9999999999999</c:v>
                </c:pt>
                <c:pt idx="4">
                  <c:v>502.2000000000001</c:v>
                </c:pt>
                <c:pt idx="5">
                  <c:v>280</c:v>
                </c:pt>
                <c:pt idx="6">
                  <c:v>3697.999999999999</c:v>
                </c:pt>
              </c:numCache>
            </c:numRef>
          </c:val>
          <c:shape val="box"/>
        </c:ser>
        <c:shape val="box"/>
        <c:axId val="40653860"/>
        <c:axId val="30340421"/>
      </c:bar3DChart>
      <c:catAx>
        <c:axId val="4065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40421"/>
        <c:crosses val="autoZero"/>
        <c:auto val="1"/>
        <c:lblOffset val="100"/>
        <c:tickLblSkip val="2"/>
        <c:noMultiLvlLbl val="0"/>
      </c:catAx>
      <c:valAx>
        <c:axId val="30340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53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2275.2000000000003</c:v>
                </c:pt>
                <c:pt idx="1">
                  <c:v>1488.5000000000002</c:v>
                </c:pt>
                <c:pt idx="2">
                  <c:v>265.5</c:v>
                </c:pt>
                <c:pt idx="3">
                  <c:v>209.29999999999998</c:v>
                </c:pt>
                <c:pt idx="4">
                  <c:v>89.8</c:v>
                </c:pt>
                <c:pt idx="5">
                  <c:v>222.10000000000008</c:v>
                </c:pt>
              </c:numCache>
            </c:numRef>
          </c:val>
          <c:shape val="box"/>
        </c:ser>
        <c:shape val="box"/>
        <c:axId val="4628334"/>
        <c:axId val="41655007"/>
      </c:bar3DChart>
      <c:catAx>
        <c:axId val="4628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55007"/>
        <c:crosses val="autoZero"/>
        <c:auto val="1"/>
        <c:lblOffset val="100"/>
        <c:tickLblSkip val="1"/>
        <c:noMultiLvlLbl val="0"/>
      </c:catAx>
      <c:valAx>
        <c:axId val="41655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8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38459.8</c:v>
                </c:pt>
              </c:numCache>
            </c:numRef>
          </c:val>
          <c:shape val="box"/>
        </c:ser>
        <c:shape val="box"/>
        <c:axId val="39350744"/>
        <c:axId val="18612377"/>
      </c:bar3DChart>
      <c:catAx>
        <c:axId val="3935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612377"/>
        <c:crosses val="autoZero"/>
        <c:auto val="1"/>
        <c:lblOffset val="100"/>
        <c:tickLblSkip val="1"/>
        <c:noMultiLvlLbl val="0"/>
      </c:catAx>
      <c:valAx>
        <c:axId val="18612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5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639727.9999999999</c:v>
                </c:pt>
                <c:pt idx="1">
                  <c:v>362954.1</c:v>
                </c:pt>
                <c:pt idx="2">
                  <c:v>64445.8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62614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372964.29999999993</c:v>
                </c:pt>
                <c:pt idx="1">
                  <c:v>229576.10000000003</c:v>
                </c:pt>
                <c:pt idx="2">
                  <c:v>36395.299999999996</c:v>
                </c:pt>
                <c:pt idx="3">
                  <c:v>13495.499999999998</c:v>
                </c:pt>
                <c:pt idx="4">
                  <c:v>2275.2000000000003</c:v>
                </c:pt>
                <c:pt idx="5">
                  <c:v>72150.50000000001</c:v>
                </c:pt>
                <c:pt idx="6">
                  <c:v>38459.8</c:v>
                </c:pt>
              </c:numCache>
            </c:numRef>
          </c:val>
          <c:shape val="box"/>
        </c:ser>
        <c:shape val="box"/>
        <c:axId val="33293666"/>
        <c:axId val="31207539"/>
      </c:bar3DChart>
      <c:catAx>
        <c:axId val="33293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07539"/>
        <c:crosses val="autoZero"/>
        <c:auto val="1"/>
        <c:lblOffset val="100"/>
        <c:tickLblSkip val="1"/>
        <c:noMultiLvlLbl val="0"/>
      </c:catAx>
      <c:valAx>
        <c:axId val="31207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3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728085</c:v>
                </c:pt>
                <c:pt idx="1">
                  <c:v>102323.1</c:v>
                </c:pt>
                <c:pt idx="2">
                  <c:v>28689.7</c:v>
                </c:pt>
                <c:pt idx="3">
                  <c:v>29533.899999999998</c:v>
                </c:pt>
                <c:pt idx="4">
                  <c:v>106.9</c:v>
                </c:pt>
                <c:pt idx="5">
                  <c:v>990936.9999999995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410938.89999999997</c:v>
                </c:pt>
                <c:pt idx="1">
                  <c:v>56560.8</c:v>
                </c:pt>
                <c:pt idx="2">
                  <c:v>18917.499999999996</c:v>
                </c:pt>
                <c:pt idx="3">
                  <c:v>13061.299999999997</c:v>
                </c:pt>
                <c:pt idx="4">
                  <c:v>23.900000000000002</c:v>
                </c:pt>
                <c:pt idx="5">
                  <c:v>525073.4999999999</c:v>
                </c:pt>
              </c:numCache>
            </c:numRef>
          </c:val>
          <c:shape val="box"/>
        </c:ser>
        <c:shape val="box"/>
        <c:axId val="12432396"/>
        <c:axId val="44782701"/>
      </c:bar3DChart>
      <c:catAx>
        <c:axId val="12432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82701"/>
        <c:crosses val="autoZero"/>
        <c:auto val="1"/>
        <c:lblOffset val="100"/>
        <c:tickLblSkip val="1"/>
        <c:noMultiLvlLbl val="0"/>
      </c:catAx>
      <c:valAx>
        <c:axId val="44782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32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f>432940.7-161.2+223.6</f>
        <v>433003.1</v>
      </c>
      <c r="C6" s="46">
        <f>625865.1-190.4-316.9+47.1+50+198+5366.4+2952+4818.2+150+808.5-20-255.7+10077</f>
        <v>649549.2999999999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</f>
        <v>379690.29999999993</v>
      </c>
      <c r="E6" s="3">
        <f>D6/D151*100</f>
        <v>34.98389612438185</v>
      </c>
      <c r="F6" s="3">
        <f>D6/B6*100</f>
        <v>87.68766320610636</v>
      </c>
      <c r="G6" s="3">
        <f aca="true" t="shared" si="0" ref="G6:G43">D6/C6*100</f>
        <v>58.45442370579107</v>
      </c>
      <c r="H6" s="47">
        <f>B6-D6</f>
        <v>53312.80000000005</v>
      </c>
      <c r="I6" s="47">
        <f aca="true" t="shared" si="1" ref="I6:I43">C6-D6</f>
        <v>269859</v>
      </c>
    </row>
    <row r="7" spans="1:9" s="37" customFormat="1" ht="18.75">
      <c r="A7" s="104" t="s">
        <v>82</v>
      </c>
      <c r="B7" s="97">
        <v>167440.3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</f>
        <v>142332.6</v>
      </c>
      <c r="E7" s="95">
        <f>D7/D6*100</f>
        <v>37.48649886499603</v>
      </c>
      <c r="F7" s="95">
        <f>D7/B7*100</f>
        <v>85.00498386589132</v>
      </c>
      <c r="G7" s="95">
        <f>D7/C7*100</f>
        <v>58.443956542109234</v>
      </c>
      <c r="H7" s="105">
        <f>B7-D7</f>
        <v>25107.699999999983</v>
      </c>
      <c r="I7" s="105">
        <f t="shared" si="1"/>
        <v>101204.29999999999</v>
      </c>
    </row>
    <row r="8" spans="1:9" ht="18">
      <c r="A8" s="23" t="s">
        <v>3</v>
      </c>
      <c r="B8" s="42">
        <f>338557.6-122.1+223.6</f>
        <v>338659.1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</f>
        <v>300717.3999999999</v>
      </c>
      <c r="E8" s="1">
        <f>D8/D6*100</f>
        <v>79.2007064705103</v>
      </c>
      <c r="F8" s="1">
        <f>D8/B8*100</f>
        <v>88.79649181138198</v>
      </c>
      <c r="G8" s="1">
        <f t="shared" si="0"/>
        <v>59.2702630682678</v>
      </c>
      <c r="H8" s="44">
        <f>B8-D8</f>
        <v>37941.70000000007</v>
      </c>
      <c r="I8" s="44">
        <f t="shared" si="1"/>
        <v>206649.00000000012</v>
      </c>
    </row>
    <row r="9" spans="1:9" ht="18">
      <c r="A9" s="23" t="s">
        <v>2</v>
      </c>
      <c r="B9" s="42">
        <v>52.9</v>
      </c>
      <c r="C9" s="43">
        <v>92.5</v>
      </c>
      <c r="D9" s="44">
        <f>2.5+4.3+3.3+7+0.4+1.3+1.6+1.3+1.5-0.1+0.8</f>
        <v>23.900000000000002</v>
      </c>
      <c r="E9" s="12">
        <f>D9/D6*100</f>
        <v>0.00629460378629636</v>
      </c>
      <c r="F9" s="119">
        <f>D9/B9*100</f>
        <v>45.17958412098299</v>
      </c>
      <c r="G9" s="1">
        <f t="shared" si="0"/>
        <v>25.83783783783784</v>
      </c>
      <c r="H9" s="44">
        <f aca="true" t="shared" si="2" ref="H9:H43">B9-D9</f>
        <v>28.999999999999996</v>
      </c>
      <c r="I9" s="44">
        <f t="shared" si="1"/>
        <v>68.6</v>
      </c>
    </row>
    <row r="10" spans="1:9" ht="18">
      <c r="A10" s="23" t="s">
        <v>1</v>
      </c>
      <c r="B10" s="42">
        <v>19586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</f>
        <v>18516.6</v>
      </c>
      <c r="E10" s="1">
        <f>D10/D6*100</f>
        <v>4.876764036373856</v>
      </c>
      <c r="F10" s="1">
        <f aca="true" t="shared" si="3" ref="F10:F41">D10/B10*100</f>
        <v>94.53997753497396</v>
      </c>
      <c r="G10" s="1">
        <f t="shared" si="0"/>
        <v>67.42748939424284</v>
      </c>
      <c r="H10" s="44">
        <f t="shared" si="2"/>
        <v>1069.4000000000015</v>
      </c>
      <c r="I10" s="44">
        <f t="shared" si="1"/>
        <v>8944.900000000001</v>
      </c>
    </row>
    <row r="11" spans="1:9" ht="18">
      <c r="A11" s="23" t="s">
        <v>0</v>
      </c>
      <c r="B11" s="42">
        <f>53126-39.1</f>
        <v>53086.9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</f>
        <v>45790.700000000004</v>
      </c>
      <c r="E11" s="1">
        <f>D11/D6*100</f>
        <v>12.060013121220113</v>
      </c>
      <c r="F11" s="1">
        <f t="shared" si="3"/>
        <v>86.25611968301031</v>
      </c>
      <c r="G11" s="1">
        <f t="shared" si="0"/>
        <v>56.69488367140501</v>
      </c>
      <c r="H11" s="44">
        <f t="shared" si="2"/>
        <v>7296.199999999997</v>
      </c>
      <c r="I11" s="44">
        <f t="shared" si="1"/>
        <v>34976.19999999999</v>
      </c>
    </row>
    <row r="12" spans="1:9" ht="18">
      <c r="A12" s="23" t="s">
        <v>14</v>
      </c>
      <c r="B12" s="42">
        <v>8533.4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</f>
        <v>8176.9</v>
      </c>
      <c r="E12" s="1">
        <f>D12/D6*100</f>
        <v>2.1535709497977695</v>
      </c>
      <c r="F12" s="1">
        <f t="shared" si="3"/>
        <v>95.82229826329481</v>
      </c>
      <c r="G12" s="1">
        <f t="shared" si="0"/>
        <v>58.28735583023252</v>
      </c>
      <c r="H12" s="44">
        <f t="shared" si="2"/>
        <v>356.5</v>
      </c>
      <c r="I12" s="44">
        <f t="shared" si="1"/>
        <v>5851.700000000001</v>
      </c>
    </row>
    <row r="13" spans="1:9" ht="18.75" thickBot="1">
      <c r="A13" s="23" t="s">
        <v>28</v>
      </c>
      <c r="B13" s="43">
        <f>B6-B8-B9-B10-B11-B12</f>
        <v>13084.800000000005</v>
      </c>
      <c r="C13" s="43">
        <f>C6-C8-C9-C10-C11-C12</f>
        <v>19833.399999999914</v>
      </c>
      <c r="D13" s="43">
        <f>D6-D8-D9-D10-D11-D12</f>
        <v>6464.800000000027</v>
      </c>
      <c r="E13" s="1">
        <f>D13/D6*100</f>
        <v>1.702650818311668</v>
      </c>
      <c r="F13" s="1">
        <f t="shared" si="3"/>
        <v>49.40694546343868</v>
      </c>
      <c r="G13" s="1">
        <f t="shared" si="0"/>
        <v>32.595520687325696</v>
      </c>
      <c r="H13" s="44">
        <f t="shared" si="2"/>
        <v>6619.999999999978</v>
      </c>
      <c r="I13" s="44">
        <f t="shared" si="1"/>
        <v>13368.599999999888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262692.8+2181.3</f>
        <v>264874.1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</f>
        <v>231185.7</v>
      </c>
      <c r="E18" s="3">
        <f>D18/D151*100</f>
        <v>21.300982706807382</v>
      </c>
      <c r="F18" s="3">
        <f>D18/B18*100</f>
        <v>87.28135366953585</v>
      </c>
      <c r="G18" s="3">
        <f t="shared" si="0"/>
        <v>61.987708407013095</v>
      </c>
      <c r="H18" s="47">
        <f>B18-D18</f>
        <v>33688.399999999965</v>
      </c>
      <c r="I18" s="47">
        <f t="shared" si="1"/>
        <v>141768.39999999997</v>
      </c>
    </row>
    <row r="19" spans="1:13" s="37" customFormat="1" ht="18.75">
      <c r="A19" s="104" t="s">
        <v>83</v>
      </c>
      <c r="B19" s="97">
        <v>160080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</f>
        <v>149087.50000000006</v>
      </c>
      <c r="E19" s="95">
        <f>D19/D18*100</f>
        <v>64.48820147612938</v>
      </c>
      <c r="F19" s="95">
        <f t="shared" si="3"/>
        <v>93.13312093953027</v>
      </c>
      <c r="G19" s="95">
        <f t="shared" si="0"/>
        <v>62.24804858343548</v>
      </c>
      <c r="H19" s="105">
        <f t="shared" si="2"/>
        <v>10992.499999999942</v>
      </c>
      <c r="I19" s="105">
        <f t="shared" si="1"/>
        <v>90417.99999999994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264874.1</v>
      </c>
      <c r="C25" s="43">
        <f>C18</f>
        <v>372954.1</v>
      </c>
      <c r="D25" s="43">
        <f>D18</f>
        <v>231185.7</v>
      </c>
      <c r="E25" s="1">
        <f>D25/D18*100</f>
        <v>100</v>
      </c>
      <c r="F25" s="1">
        <f t="shared" si="3"/>
        <v>87.28135366953585</v>
      </c>
      <c r="G25" s="1">
        <f t="shared" si="0"/>
        <v>61.987708407013095</v>
      </c>
      <c r="H25" s="44">
        <f t="shared" si="2"/>
        <v>33688.399999999965</v>
      </c>
      <c r="I25" s="44">
        <f t="shared" si="1"/>
        <v>141768.39999999997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41983.1+161.2</f>
        <v>42144.299999999996</v>
      </c>
      <c r="C33" s="46">
        <f>67303.3-3099.2+301.7+44-104+255.7</f>
        <v>64701.5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</f>
        <v>37176.19999999999</v>
      </c>
      <c r="E33" s="3">
        <f>D33/D151*100</f>
        <v>3.425339860141922</v>
      </c>
      <c r="F33" s="3">
        <f>D33/B33*100</f>
        <v>88.2116917352999</v>
      </c>
      <c r="G33" s="3">
        <f t="shared" si="0"/>
        <v>57.458018747633346</v>
      </c>
      <c r="H33" s="47">
        <f t="shared" si="2"/>
        <v>4968.100000000006</v>
      </c>
      <c r="I33" s="47">
        <f t="shared" si="1"/>
        <v>27525.30000000001</v>
      </c>
      <c r="K33" s="132"/>
    </row>
    <row r="34" spans="1:11" ht="18">
      <c r="A34" s="23" t="s">
        <v>3</v>
      </c>
      <c r="B34" s="42">
        <f>34660+33.5+122.1</f>
        <v>34815.6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</f>
        <v>30934.299999999996</v>
      </c>
      <c r="E34" s="1">
        <f>D34/D33*100</f>
        <v>83.20995690791422</v>
      </c>
      <c r="F34" s="1">
        <f t="shared" si="3"/>
        <v>88.85183653304838</v>
      </c>
      <c r="G34" s="1">
        <f t="shared" si="0"/>
        <v>58.52794211969221</v>
      </c>
      <c r="H34" s="44">
        <f t="shared" si="2"/>
        <v>3881.300000000003</v>
      </c>
      <c r="I34" s="44">
        <f t="shared" si="1"/>
        <v>21919.6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f>1654.5+39.1</f>
        <v>1693.6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</f>
        <v>1538.5</v>
      </c>
      <c r="E36" s="1">
        <f>D36/D33*100</f>
        <v>4.138400374433107</v>
      </c>
      <c r="F36" s="1">
        <f t="shared" si="3"/>
        <v>90.84199338686821</v>
      </c>
      <c r="G36" s="1">
        <f t="shared" si="0"/>
        <v>49.96914482445029</v>
      </c>
      <c r="H36" s="44">
        <f t="shared" si="2"/>
        <v>155.0999999999999</v>
      </c>
      <c r="I36" s="44">
        <f t="shared" si="1"/>
        <v>1540.4</v>
      </c>
      <c r="K36" s="132"/>
    </row>
    <row r="37" spans="1:11" s="37" customFormat="1" ht="18.75">
      <c r="A37" s="18" t="s">
        <v>7</v>
      </c>
      <c r="B37" s="51">
        <v>501.2</v>
      </c>
      <c r="C37" s="52">
        <f>856.1-104</f>
        <v>752.1</v>
      </c>
      <c r="D37" s="53">
        <f>7.4+12.3+6.1+3.3+9.3+3.2+58.1+36.7+24.4+18.9-18.9+0.1+12+83.3+21.3+10.7+4.7+55.2+2.2+22.4</f>
        <v>372.7</v>
      </c>
      <c r="E37" s="17">
        <f>D37/D33*100</f>
        <v>1.0025231196303013</v>
      </c>
      <c r="F37" s="17">
        <f t="shared" si="3"/>
        <v>74.36153232242617</v>
      </c>
      <c r="G37" s="17">
        <f t="shared" si="0"/>
        <v>49.554580507911176</v>
      </c>
      <c r="H37" s="53">
        <f t="shared" si="2"/>
        <v>128.5</v>
      </c>
      <c r="I37" s="53">
        <f t="shared" si="1"/>
        <v>379.40000000000003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0.06859227139944375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5108.399999999997</v>
      </c>
      <c r="C39" s="42">
        <f>C33-C34-C36-C37-C35-C38</f>
        <v>7935.800000000006</v>
      </c>
      <c r="D39" s="42">
        <f>D33-D34-D36-D37-D35-D38</f>
        <v>4305.199999999994</v>
      </c>
      <c r="E39" s="1">
        <f>D39/D33*100</f>
        <v>11.580527326622935</v>
      </c>
      <c r="F39" s="1">
        <f t="shared" si="3"/>
        <v>84.27687730013305</v>
      </c>
      <c r="G39" s="1">
        <f t="shared" si="0"/>
        <v>54.25035913203446</v>
      </c>
      <c r="H39" s="44">
        <f>B39-D39</f>
        <v>803.2000000000025</v>
      </c>
      <c r="I39" s="44">
        <f t="shared" si="1"/>
        <v>3630.6000000000113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f>1890.8+3.3</f>
        <v>1894.1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</f>
        <v>1193.0000000000002</v>
      </c>
      <c r="E43" s="3">
        <f>D43/D151*100</f>
        <v>0.10992060654798808</v>
      </c>
      <c r="F43" s="3">
        <f>D43/B43*100</f>
        <v>62.98505886700809</v>
      </c>
      <c r="G43" s="3">
        <f t="shared" si="0"/>
        <v>53.33035315154224</v>
      </c>
      <c r="H43" s="47">
        <f t="shared" si="2"/>
        <v>701.0999999999997</v>
      </c>
      <c r="I43" s="47">
        <f t="shared" si="1"/>
        <v>1044.0000000000002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7911.7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</f>
        <v>7065</v>
      </c>
      <c r="E45" s="3">
        <f>D45/D151*100</f>
        <v>0.6509548074279426</v>
      </c>
      <c r="F45" s="3">
        <f>D45/B45*100</f>
        <v>89.29812808877992</v>
      </c>
      <c r="G45" s="3">
        <f aca="true" t="shared" si="4" ref="G45:G76">D45/C45*100</f>
        <v>59.93383101459111</v>
      </c>
      <c r="H45" s="47">
        <f>B45-D45</f>
        <v>846.6999999999998</v>
      </c>
      <c r="I45" s="47">
        <f aca="true" t="shared" si="5" ref="I45:I77">C45-D45</f>
        <v>4723</v>
      </c>
      <c r="K45" s="132"/>
    </row>
    <row r="46" spans="1:11" ht="18">
      <c r="A46" s="23" t="s">
        <v>3</v>
      </c>
      <c r="B46" s="42">
        <v>7087.7</v>
      </c>
      <c r="C46" s="43">
        <v>10529.7</v>
      </c>
      <c r="D46" s="44">
        <f>102.7+154.9+447.3+314.1+572.1+284.8+559+325.4+510.8+301.6+29.6+556.7+0.1+311.9+684.4+334.8+585.4+305.3</f>
        <v>6380.9</v>
      </c>
      <c r="E46" s="1">
        <f>D46/D45*100</f>
        <v>90.31705590941259</v>
      </c>
      <c r="F46" s="1">
        <f aca="true" t="shared" si="6" ref="F46:F74">D46/B46*100</f>
        <v>90.0277946301339</v>
      </c>
      <c r="G46" s="1">
        <f t="shared" si="4"/>
        <v>60.59906739983094</v>
      </c>
      <c r="H46" s="44">
        <f aca="true" t="shared" si="7" ref="H46:H74">B46-D46</f>
        <v>706.8000000000002</v>
      </c>
      <c r="I46" s="44">
        <f t="shared" si="5"/>
        <v>4148.800000000001</v>
      </c>
      <c r="K46" s="132"/>
    </row>
    <row r="47" spans="1:11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0.01132342533616419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0.5279547062986554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564</v>
      </c>
      <c r="C49" s="43">
        <v>865.1</v>
      </c>
      <c r="D49" s="44">
        <f>3.1+3.5+1+0.7+59.3+95.2+2.2+6-0.1+53.5+89.7+6.2+7.2+73.9+0.4+4+3.2+30.6+0.2+2.7+3.1+5.4+3.6+1.3</f>
        <v>455.9</v>
      </c>
      <c r="E49" s="1">
        <f>D49/D45*100</f>
        <v>6.452937013446568</v>
      </c>
      <c r="F49" s="1">
        <f t="shared" si="6"/>
        <v>80.83333333333333</v>
      </c>
      <c r="G49" s="1">
        <f t="shared" si="4"/>
        <v>52.69910992948792</v>
      </c>
      <c r="H49" s="44">
        <f t="shared" si="7"/>
        <v>108.10000000000002</v>
      </c>
      <c r="I49" s="44">
        <f t="shared" si="5"/>
        <v>409.20000000000005</v>
      </c>
      <c r="K49" s="132"/>
    </row>
    <row r="50" spans="1:11" ht="18.75" thickBot="1">
      <c r="A50" s="23" t="s">
        <v>28</v>
      </c>
      <c r="B50" s="43">
        <f>B45-B46-B49-B48-B47</f>
        <v>210.79999999999998</v>
      </c>
      <c r="C50" s="43">
        <f>C45-C46-C49-C48-C47</f>
        <v>317.49999999999926</v>
      </c>
      <c r="D50" s="43">
        <f>D45-D46-D49-D48-D47</f>
        <v>190.10000000000036</v>
      </c>
      <c r="E50" s="1">
        <f>D50/D45*100</f>
        <v>2.6907289455060206</v>
      </c>
      <c r="F50" s="1">
        <f t="shared" si="6"/>
        <v>90.18026565464913</v>
      </c>
      <c r="G50" s="1">
        <f t="shared" si="4"/>
        <v>59.87401574803175</v>
      </c>
      <c r="H50" s="44">
        <f t="shared" si="7"/>
        <v>20.69999999999962</v>
      </c>
      <c r="I50" s="44">
        <f t="shared" si="5"/>
        <v>127.3999999999989</v>
      </c>
      <c r="K50" s="132"/>
    </row>
    <row r="51" spans="1:11" ht="18.75" thickBot="1">
      <c r="A51" s="22" t="s">
        <v>4</v>
      </c>
      <c r="B51" s="45">
        <v>15262.2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</f>
        <v>13962</v>
      </c>
      <c r="E51" s="3">
        <f>D51/D151*100</f>
        <v>1.2864304347217177</v>
      </c>
      <c r="F51" s="3">
        <f>D51/B51*100</f>
        <v>91.48091362975194</v>
      </c>
      <c r="G51" s="3">
        <f t="shared" si="4"/>
        <v>58.389337526503546</v>
      </c>
      <c r="H51" s="47">
        <f>B51-D51</f>
        <v>1300.2000000000007</v>
      </c>
      <c r="I51" s="47">
        <f t="shared" si="5"/>
        <v>9949.899999999998</v>
      </c>
      <c r="K51" s="132"/>
    </row>
    <row r="52" spans="1:11" ht="18">
      <c r="A52" s="23" t="s">
        <v>3</v>
      </c>
      <c r="B52" s="42">
        <v>9611.2</v>
      </c>
      <c r="C52" s="43">
        <f>16189.8-940.4</f>
        <v>15249.4</v>
      </c>
      <c r="D52" s="44">
        <f>392.4+738.8+389.6+752.9+403.1+730.4+397.8+724.9+1.1+0.1+403+795.7+527.1+1240.6+386.5+33.7+705.7+0.1+5.8+226.6</f>
        <v>8855.9</v>
      </c>
      <c r="E52" s="1">
        <f>D52/D51*100</f>
        <v>63.42859189227904</v>
      </c>
      <c r="F52" s="1">
        <f t="shared" si="6"/>
        <v>92.14145996337605</v>
      </c>
      <c r="G52" s="1">
        <f t="shared" si="4"/>
        <v>58.073760279092944</v>
      </c>
      <c r="H52" s="44">
        <f t="shared" si="7"/>
        <v>755.3000000000011</v>
      </c>
      <c r="I52" s="44">
        <f t="shared" si="5"/>
        <v>6393.5</v>
      </c>
      <c r="K52" s="132"/>
    </row>
    <row r="53" spans="1:11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  <c r="K53" s="132"/>
    </row>
    <row r="54" spans="1:11" ht="18">
      <c r="A54" s="23" t="s">
        <v>1</v>
      </c>
      <c r="B54" s="42">
        <v>527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</f>
        <v>391.39999999999986</v>
      </c>
      <c r="E54" s="1">
        <f>D54/D51*100</f>
        <v>2.803323306116601</v>
      </c>
      <c r="F54" s="1">
        <f t="shared" si="6"/>
        <v>74.26944971537</v>
      </c>
      <c r="G54" s="1">
        <f t="shared" si="4"/>
        <v>48.309059491483566</v>
      </c>
      <c r="H54" s="44">
        <f t="shared" si="7"/>
        <v>135.60000000000014</v>
      </c>
      <c r="I54" s="44">
        <f t="shared" si="5"/>
        <v>418.8000000000002</v>
      </c>
      <c r="K54" s="132"/>
    </row>
    <row r="55" spans="1:11" ht="18">
      <c r="A55" s="23" t="s">
        <v>0</v>
      </c>
      <c r="B55" s="42">
        <v>592.5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</f>
        <v>502.7000000000001</v>
      </c>
      <c r="E55" s="1">
        <f>D55/D51*100</f>
        <v>3.6004870362412267</v>
      </c>
      <c r="F55" s="1">
        <f t="shared" si="6"/>
        <v>84.84388185654011</v>
      </c>
      <c r="G55" s="1">
        <f t="shared" si="4"/>
        <v>47.30403688717419</v>
      </c>
      <c r="H55" s="44">
        <f t="shared" si="7"/>
        <v>89.7999999999999</v>
      </c>
      <c r="I55" s="44">
        <f t="shared" si="5"/>
        <v>560</v>
      </c>
      <c r="K55" s="132"/>
    </row>
    <row r="56" spans="1:11" ht="18">
      <c r="A56" s="23" t="s">
        <v>14</v>
      </c>
      <c r="B56" s="42">
        <v>329.7</v>
      </c>
      <c r="C56" s="43">
        <v>518.9</v>
      </c>
      <c r="D56" s="43">
        <f>34+46+40+40+40+40+40+40</f>
        <v>320</v>
      </c>
      <c r="E56" s="1">
        <f>D56/D51*100</f>
        <v>2.2919352528291075</v>
      </c>
      <c r="F56" s="1">
        <f>D56/B56*100</f>
        <v>97.05793145283592</v>
      </c>
      <c r="G56" s="1">
        <f>D56/C56*100</f>
        <v>61.668915012526504</v>
      </c>
      <c r="H56" s="44">
        <f t="shared" si="7"/>
        <v>9.699999999999989</v>
      </c>
      <c r="I56" s="44">
        <f t="shared" si="5"/>
        <v>198.89999999999998</v>
      </c>
      <c r="K56" s="132"/>
    </row>
    <row r="57" spans="1:11" ht="18.75" thickBot="1">
      <c r="A57" s="23" t="s">
        <v>28</v>
      </c>
      <c r="B57" s="43">
        <f>B51-B52-B55-B54-B53-B56</f>
        <v>4201.8</v>
      </c>
      <c r="C57" s="43">
        <f>C51-C52-C55-C54-C53-C56</f>
        <v>6257.699999999999</v>
      </c>
      <c r="D57" s="43">
        <f>D51-D52-D55-D54-D53-D56</f>
        <v>3892.000000000001</v>
      </c>
      <c r="E57" s="1">
        <f>D57/D51*100</f>
        <v>27.875662512534028</v>
      </c>
      <c r="F57" s="1">
        <f t="shared" si="6"/>
        <v>92.62696939406922</v>
      </c>
      <c r="G57" s="1">
        <f t="shared" si="4"/>
        <v>62.19537529763334</v>
      </c>
      <c r="H57" s="44">
        <f>B57-D57</f>
        <v>309.7999999999993</v>
      </c>
      <c r="I57" s="44">
        <f>C57-D57</f>
        <v>2365.699999999998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f>6398.5-3400</f>
        <v>2998.5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</f>
        <v>2437.2</v>
      </c>
      <c r="E59" s="3">
        <f>D59/D151*100</f>
        <v>0.2245586775178177</v>
      </c>
      <c r="F59" s="3">
        <f>D59/B59*100</f>
        <v>81.28064032016007</v>
      </c>
      <c r="G59" s="3">
        <f t="shared" si="4"/>
        <v>56.467644401195514</v>
      </c>
      <c r="H59" s="47">
        <f>B59-D59</f>
        <v>561.3000000000002</v>
      </c>
      <c r="I59" s="47">
        <f t="shared" si="5"/>
        <v>1878.9000000000005</v>
      </c>
      <c r="K59" s="132"/>
    </row>
    <row r="60" spans="1:11" ht="18">
      <c r="A60" s="23" t="s">
        <v>3</v>
      </c>
      <c r="B60" s="42">
        <v>1713.1</v>
      </c>
      <c r="C60" s="43">
        <f>2900.3-339.6</f>
        <v>2560.7000000000003</v>
      </c>
      <c r="D60" s="44">
        <f>55.6+146.1+60.8+59.3+73.6+0.1+67.3+144.6-4.5+79.7+66.8+72.2-0.1+53+75.7+69.4+0.1+39.1+101.5+64.4+45.9+60.8+119.4+37.7+47.7</f>
        <v>1536.2000000000003</v>
      </c>
      <c r="E60" s="1">
        <f>D60/D59*100</f>
        <v>63.03134744789104</v>
      </c>
      <c r="F60" s="1">
        <f t="shared" si="6"/>
        <v>89.67369096958731</v>
      </c>
      <c r="G60" s="1">
        <f t="shared" si="4"/>
        <v>59.99140859921116</v>
      </c>
      <c r="H60" s="44">
        <f t="shared" si="7"/>
        <v>176.89999999999964</v>
      </c>
      <c r="I60" s="44">
        <f t="shared" si="5"/>
        <v>1024.5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13.827342852453636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224.5</v>
      </c>
      <c r="C62" s="43">
        <f>451.8-38.9</f>
        <v>412.90000000000003</v>
      </c>
      <c r="D62" s="44">
        <f>0.4+18.6+55.1+0.5+32.9+0.7+67.5+3.7+0.4+6.3+12.6+0.1+4.2+0.1+1.9+0.5+3.8+1+0.1+0.1+2.5</f>
        <v>212.99999999999997</v>
      </c>
      <c r="E62" s="1">
        <f>D62/D59*100</f>
        <v>8.739537173806006</v>
      </c>
      <c r="F62" s="1">
        <f t="shared" si="6"/>
        <v>94.87750556792872</v>
      </c>
      <c r="G62" s="1">
        <f t="shared" si="4"/>
        <v>51.58634051828529</v>
      </c>
      <c r="H62" s="44">
        <f t="shared" si="7"/>
        <v>11.500000000000028</v>
      </c>
      <c r="I62" s="44">
        <f t="shared" si="5"/>
        <v>199.90000000000006</v>
      </c>
      <c r="K62" s="132"/>
    </row>
    <row r="63" spans="1:11" ht="18">
      <c r="A63" s="23" t="s">
        <v>14</v>
      </c>
      <c r="B63" s="42">
        <f>3707.1-3400</f>
        <v>307.0999999999999</v>
      </c>
      <c r="C63" s="43">
        <f>3707.1-3400</f>
        <v>307.0999999999999</v>
      </c>
      <c r="D63" s="44">
        <v>89.8</v>
      </c>
      <c r="E63" s="1">
        <f>D63/D59*100</f>
        <v>3.6845560479238473</v>
      </c>
      <c r="F63" s="1">
        <f t="shared" si="6"/>
        <v>29.241289482253347</v>
      </c>
      <c r="G63" s="1">
        <f t="shared" si="4"/>
        <v>29.241289482253347</v>
      </c>
      <c r="H63" s="44">
        <f t="shared" si="7"/>
        <v>217.2999999999999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410.1000000000002</v>
      </c>
      <c r="C64" s="43">
        <f>C59-C60-C62-C63-C61</f>
        <v>691.7</v>
      </c>
      <c r="D64" s="43">
        <f>D59-D60-D62-D63-D61</f>
        <v>261.1999999999996</v>
      </c>
      <c r="E64" s="1">
        <f>D64/D59*100</f>
        <v>10.717216477925472</v>
      </c>
      <c r="F64" s="1">
        <f t="shared" si="6"/>
        <v>63.69178249207498</v>
      </c>
      <c r="G64" s="1">
        <f t="shared" si="4"/>
        <v>37.76203556455104</v>
      </c>
      <c r="H64" s="44">
        <f t="shared" si="7"/>
        <v>148.9000000000006</v>
      </c>
      <c r="I64" s="44">
        <f t="shared" si="5"/>
        <v>430.50000000000045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342.4</v>
      </c>
      <c r="C69" s="46">
        <f>C70+C71</f>
        <v>397.5</v>
      </c>
      <c r="D69" s="47">
        <f>SUM(D70:D71)</f>
        <v>242.49999999999997</v>
      </c>
      <c r="E69" s="35">
        <f>D69/D151*100</f>
        <v>0.02234345941985507</v>
      </c>
      <c r="F69" s="3">
        <f>D69/B69*100</f>
        <v>70.82359813084112</v>
      </c>
      <c r="G69" s="3">
        <f t="shared" si="4"/>
        <v>61.0062893081761</v>
      </c>
      <c r="H69" s="47">
        <f>B69-D69</f>
        <v>99.9</v>
      </c>
      <c r="I69" s="47">
        <f t="shared" si="5"/>
        <v>155.00000000000003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  <c r="K70" s="132"/>
    </row>
    <row r="71" spans="1:11" ht="18.75" thickBot="1">
      <c r="A71" s="23" t="s">
        <v>9</v>
      </c>
      <c r="B71" s="42">
        <v>55.4</v>
      </c>
      <c r="C71" s="43">
        <f>267.3-68.6-27.9+0.7-15-6.9-19.6-19.5</f>
        <v>110.5</v>
      </c>
      <c r="D71" s="44">
        <f>6.5</f>
        <v>6.5</v>
      </c>
      <c r="E71" s="1">
        <f>D71/D70*100</f>
        <v>2.7542372881355934</v>
      </c>
      <c r="F71" s="1">
        <f t="shared" si="6"/>
        <v>11.732851985559567</v>
      </c>
      <c r="G71" s="1">
        <f t="shared" si="4"/>
        <v>5.88235294117647</v>
      </c>
      <c r="H71" s="44">
        <f t="shared" si="7"/>
        <v>48.9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f>107720.6-1218.4+141.7</f>
        <v>106643.90000000001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</f>
        <v>78327.30000000003</v>
      </c>
      <c r="E90" s="3">
        <f>D90/D151*100</f>
        <v>7.216918965017795</v>
      </c>
      <c r="F90" s="3">
        <f aca="true" t="shared" si="10" ref="F90:F96">D90/B90*100</f>
        <v>73.4475202050938</v>
      </c>
      <c r="G90" s="3">
        <f t="shared" si="8"/>
        <v>49.714100745451624</v>
      </c>
      <c r="H90" s="47">
        <f aca="true" t="shared" si="11" ref="H90:H96">B90-D90</f>
        <v>28316.599999999977</v>
      </c>
      <c r="I90" s="47">
        <f t="shared" si="9"/>
        <v>79228.19999999997</v>
      </c>
      <c r="K90" s="132"/>
    </row>
    <row r="91" spans="1:11" ht="18">
      <c r="A91" s="23" t="s">
        <v>3</v>
      </c>
      <c r="B91" s="42">
        <f>99959.7-1218.4-1</f>
        <v>98740.3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</f>
        <v>73045.2</v>
      </c>
      <c r="E91" s="1">
        <f>D91/D90*100</f>
        <v>93.25637421435434</v>
      </c>
      <c r="F91" s="1">
        <f t="shared" si="10"/>
        <v>73.9770893951102</v>
      </c>
      <c r="G91" s="1">
        <f t="shared" si="8"/>
        <v>49.716654301913245</v>
      </c>
      <c r="H91" s="44">
        <f t="shared" si="11"/>
        <v>25695.100000000006</v>
      </c>
      <c r="I91" s="44">
        <f t="shared" si="9"/>
        <v>73877.8</v>
      </c>
      <c r="K91" s="132"/>
    </row>
    <row r="92" spans="1:11" ht="18">
      <c r="A92" s="23" t="s">
        <v>26</v>
      </c>
      <c r="B92" s="42">
        <v>1537.2</v>
      </c>
      <c r="C92" s="43">
        <v>2620.6</v>
      </c>
      <c r="D92" s="44">
        <f>48.5+5.1+5+1.3+22.8+67.3+62.7+3.5+1.4+40.6+112.7+571.4+55.5+1.7+2.4+3.1+83.6+0.9+1.4+3.5+0.9+23.5+44.4+1+13.6+0.7+42.8+22.3+44+0.7+4.6+0.7+0.7+13.7</f>
        <v>1308.0000000000002</v>
      </c>
      <c r="E92" s="1">
        <f>D92/D90*100</f>
        <v>1.6699158530933658</v>
      </c>
      <c r="F92" s="1">
        <f t="shared" si="10"/>
        <v>85.08977361436379</v>
      </c>
      <c r="G92" s="1">
        <f t="shared" si="8"/>
        <v>49.91223383957873</v>
      </c>
      <c r="H92" s="44">
        <f t="shared" si="11"/>
        <v>229.19999999999982</v>
      </c>
      <c r="I92" s="44">
        <f t="shared" si="9"/>
        <v>1312.5999999999997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6366.400000000006</v>
      </c>
      <c r="C94" s="43">
        <f>C90-C91-C92-C93</f>
        <v>8011.9</v>
      </c>
      <c r="D94" s="43">
        <f>D90-D91-D92-D93</f>
        <v>3974.100000000035</v>
      </c>
      <c r="E94" s="1">
        <f>D94/D90*100</f>
        <v>5.073709932552294</v>
      </c>
      <c r="F94" s="1">
        <f t="shared" si="10"/>
        <v>62.42303342548428</v>
      </c>
      <c r="G94" s="1">
        <f>D94/C94*100</f>
        <v>49.602466331332586</v>
      </c>
      <c r="H94" s="44">
        <f t="shared" si="11"/>
        <v>2392.299999999971</v>
      </c>
      <c r="I94" s="44">
        <f>C94-D94</f>
        <v>4037.7999999999647</v>
      </c>
      <c r="K94" s="132"/>
    </row>
    <row r="95" spans="1:11" ht="18.75">
      <c r="A95" s="108" t="s">
        <v>12</v>
      </c>
      <c r="B95" s="128">
        <f>44044.4-826.8+402.5-200</f>
        <v>43420.1</v>
      </c>
      <c r="C95" s="112">
        <f>59880.5+5316.8+172.8+165-3329.3+408.2-3637.6</f>
        <v>58976.4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</f>
        <v>39523.8</v>
      </c>
      <c r="E95" s="107">
        <f>D95/D151*100</f>
        <v>3.641642974921518</v>
      </c>
      <c r="F95" s="110">
        <f t="shared" si="10"/>
        <v>91.02650615728662</v>
      </c>
      <c r="G95" s="106">
        <f>D95/C95*100</f>
        <v>67.01629804464159</v>
      </c>
      <c r="H95" s="111">
        <f t="shared" si="11"/>
        <v>3896.2999999999956</v>
      </c>
      <c r="I95" s="121">
        <f>C95-D95</f>
        <v>19452.6</v>
      </c>
      <c r="K95" s="132"/>
    </row>
    <row r="96" spans="1:11" ht="18.75" thickBot="1">
      <c r="A96" s="109" t="s">
        <v>84</v>
      </c>
      <c r="B96" s="113">
        <f>6602.1-100</f>
        <v>6502.1</v>
      </c>
      <c r="C96" s="114">
        <f>10660.3-133.5+11.8+210.8</f>
        <v>10749.399999999998</v>
      </c>
      <c r="D96" s="115">
        <f>69.1+1043.7+68.3+1051.8+1+68.3+66.1+938.4+3+68.7+11.3+4.3+734+67.7+6.3+0.4+21.5+2.2+658.8+0.1+17.8+71.8+130.4+525.1+460.8+17+3.6+18.3</f>
        <v>6129.800000000001</v>
      </c>
      <c r="E96" s="116">
        <f>D96/D95*100</f>
        <v>15.509136267261752</v>
      </c>
      <c r="F96" s="117">
        <f t="shared" si="10"/>
        <v>94.27415757985884</v>
      </c>
      <c r="G96" s="118">
        <f>D96/C96*100</f>
        <v>57.02457811598789</v>
      </c>
      <c r="H96" s="122">
        <f t="shared" si="11"/>
        <v>372.2999999999993</v>
      </c>
      <c r="I96" s="123">
        <f>C96-D96</f>
        <v>4619.599999999997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f>9055.2-3.3</f>
        <v>9051.900000000001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</f>
        <v>6378.399999999997</v>
      </c>
      <c r="E102" s="19">
        <f>D102/D151*100</f>
        <v>0.587692872427231</v>
      </c>
      <c r="F102" s="19">
        <f>D102/B102*100</f>
        <v>70.46476430362681</v>
      </c>
      <c r="G102" s="19">
        <f aca="true" t="shared" si="12" ref="G102:G149">D102/C102*100</f>
        <v>50.317124735729344</v>
      </c>
      <c r="H102" s="79">
        <f aca="true" t="shared" si="13" ref="H102:H107">B102-D102</f>
        <v>2673.5000000000045</v>
      </c>
      <c r="I102" s="79">
        <f aca="true" t="shared" si="14" ref="I102:I149">C102-D102</f>
        <v>6298.000000000006</v>
      </c>
      <c r="K102" s="133"/>
    </row>
    <row r="103" spans="1:11" ht="18">
      <c r="A103" s="23" t="s">
        <v>3</v>
      </c>
      <c r="B103" s="89">
        <v>184.5</v>
      </c>
      <c r="C103" s="87">
        <v>259.1</v>
      </c>
      <c r="D103" s="87">
        <f>17.3+10+11+0.1+10.9+18.9+0.1+11+25.2+18.3+2.4+10.6</f>
        <v>135.79999999999998</v>
      </c>
      <c r="E103" s="83">
        <f>D103/D102*100</f>
        <v>2.129060579455664</v>
      </c>
      <c r="F103" s="1">
        <f>D103/B103*100</f>
        <v>73.60433604336043</v>
      </c>
      <c r="G103" s="83">
        <f>D103/C103*100</f>
        <v>52.412196063296015</v>
      </c>
      <c r="H103" s="87">
        <f t="shared" si="13"/>
        <v>48.70000000000002</v>
      </c>
      <c r="I103" s="87">
        <f t="shared" si="14"/>
        <v>123.30000000000004</v>
      </c>
      <c r="K103" s="132"/>
    </row>
    <row r="104" spans="1:11" ht="18">
      <c r="A104" s="85" t="s">
        <v>49</v>
      </c>
      <c r="B104" s="74">
        <f>7440.7-3.3</f>
        <v>7437.4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</f>
        <v>5246.699999999999</v>
      </c>
      <c r="E104" s="1">
        <f>D104/D102*100</f>
        <v>82.25730590743763</v>
      </c>
      <c r="F104" s="1">
        <f aca="true" t="shared" si="15" ref="F104:F149">D104/B104*100</f>
        <v>70.54481404791996</v>
      </c>
      <c r="G104" s="1">
        <f t="shared" si="12"/>
        <v>50.763380935794714</v>
      </c>
      <c r="H104" s="44">
        <f t="shared" si="13"/>
        <v>2190.7000000000007</v>
      </c>
      <c r="I104" s="44">
        <f t="shared" si="14"/>
        <v>5088.900000000003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1430.0000000000018</v>
      </c>
      <c r="C106" s="88">
        <f>C102-C103-C104</f>
        <v>2081.7000000000007</v>
      </c>
      <c r="D106" s="88">
        <f>D102-D103-D104</f>
        <v>995.8999999999978</v>
      </c>
      <c r="E106" s="84">
        <f>D106/D102*100</f>
        <v>15.61363351310671</v>
      </c>
      <c r="F106" s="84">
        <f t="shared" si="15"/>
        <v>69.6433566433564</v>
      </c>
      <c r="G106" s="84">
        <f t="shared" si="12"/>
        <v>47.84070711437755</v>
      </c>
      <c r="H106" s="123">
        <f>B106-D106</f>
        <v>434.100000000004</v>
      </c>
      <c r="I106" s="123">
        <f t="shared" si="14"/>
        <v>1085.800000000003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313749.70000000007</v>
      </c>
      <c r="C107" s="81">
        <f>SUM(C108:C148)-C115-C119+C149-C140-C141-C109-C112-C122-C123-C138-C131-C129-C136</f>
        <v>519699</v>
      </c>
      <c r="D107" s="81">
        <f>SUM(D108:D148)-D115-D119+D149-D140-D141-D109-D112-D122-D123-D138-D131-D129-D136</f>
        <v>288147.3999999999</v>
      </c>
      <c r="E107" s="82">
        <f>D107/D151*100</f>
        <v>26.549318510666993</v>
      </c>
      <c r="F107" s="82">
        <f>D107/B107*100</f>
        <v>91.83989657998075</v>
      </c>
      <c r="G107" s="82">
        <f t="shared" si="12"/>
        <v>55.44505569570076</v>
      </c>
      <c r="H107" s="81">
        <f t="shared" si="13"/>
        <v>25602.300000000163</v>
      </c>
      <c r="I107" s="81">
        <f t="shared" si="14"/>
        <v>231551.6000000001</v>
      </c>
    </row>
    <row r="108" spans="1:9" ht="37.5">
      <c r="A108" s="28" t="s">
        <v>53</v>
      </c>
      <c r="B108" s="71">
        <v>2647.3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</f>
        <v>1334.3000000000004</v>
      </c>
      <c r="E108" s="6">
        <f>D108/D107*100</f>
        <v>0.463061613604704</v>
      </c>
      <c r="F108" s="6">
        <f t="shared" si="15"/>
        <v>50.402296679635874</v>
      </c>
      <c r="G108" s="6">
        <f t="shared" si="12"/>
        <v>32.57886512354723</v>
      </c>
      <c r="H108" s="61">
        <f aca="true" t="shared" si="16" ref="H108:H149">B108-D108</f>
        <v>1312.9999999999998</v>
      </c>
      <c r="I108" s="61">
        <f t="shared" si="14"/>
        <v>2761.2999999999993</v>
      </c>
    </row>
    <row r="109" spans="1:9" ht="18">
      <c r="A109" s="23" t="s">
        <v>26</v>
      </c>
      <c r="B109" s="74">
        <v>1630.1</v>
      </c>
      <c r="C109" s="44">
        <v>2633.8</v>
      </c>
      <c r="D109" s="75">
        <f>68.3+138.7+47.8+60.9+18.1+30+81.4+40.6+14.7+2.7+31.2+33.2+49.1</f>
        <v>616.7000000000002</v>
      </c>
      <c r="E109" s="1">
        <f>D109/D108*100</f>
        <v>46.218991231357265</v>
      </c>
      <c r="F109" s="1">
        <f t="shared" si="15"/>
        <v>37.832034844488085</v>
      </c>
      <c r="G109" s="1">
        <f t="shared" si="12"/>
        <v>23.41483787683196</v>
      </c>
      <c r="H109" s="44">
        <f t="shared" si="16"/>
        <v>1013.3999999999997</v>
      </c>
      <c r="I109" s="44">
        <f t="shared" si="14"/>
        <v>2017.1</v>
      </c>
    </row>
    <row r="110" spans="1:9" ht="34.5" customHeight="1">
      <c r="A110" s="16" t="s">
        <v>79</v>
      </c>
      <c r="B110" s="73">
        <v>899.1</v>
      </c>
      <c r="C110" s="61">
        <v>1175.4</v>
      </c>
      <c r="D110" s="72">
        <f>11.8+87.5+28+44.4+7.5+8.9+32.2+39.5</f>
        <v>259.8</v>
      </c>
      <c r="E110" s="6">
        <f>D110/D107*100</f>
        <v>0.09016218782470364</v>
      </c>
      <c r="F110" s="6">
        <f>D110/B110*100</f>
        <v>28.89556222889556</v>
      </c>
      <c r="G110" s="6">
        <f t="shared" si="12"/>
        <v>22.103113833588566</v>
      </c>
      <c r="H110" s="61">
        <f t="shared" si="16"/>
        <v>639.3</v>
      </c>
      <c r="I110" s="61">
        <f t="shared" si="14"/>
        <v>915.6000000000001</v>
      </c>
    </row>
    <row r="111" spans="1:9" s="37" customFormat="1" ht="34.5" customHeight="1">
      <c r="A111" s="16" t="s">
        <v>98</v>
      </c>
      <c r="B111" s="73">
        <v>171.7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171.7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0.010584860387426717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f>1967.8+77.9</f>
        <v>2045.7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</f>
        <v>1581.7000000000003</v>
      </c>
      <c r="E114" s="6">
        <f>D114/D107*100</f>
        <v>0.5489204483538637</v>
      </c>
      <c r="F114" s="6">
        <f t="shared" si="15"/>
        <v>77.3182773622721</v>
      </c>
      <c r="G114" s="6">
        <f t="shared" si="12"/>
        <v>52.73212202033674</v>
      </c>
      <c r="H114" s="61">
        <f t="shared" si="16"/>
        <v>463.9999999999998</v>
      </c>
      <c r="I114" s="61">
        <f t="shared" si="14"/>
        <v>1417.7999999999997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>
        <f>18</f>
        <v>18</v>
      </c>
      <c r="E117" s="6">
        <f>D117/D107*100</f>
        <v>0.006246802851596095</v>
      </c>
      <c r="F117" s="6">
        <f>D117/B117*100</f>
        <v>15.126050420168067</v>
      </c>
      <c r="G117" s="6">
        <f t="shared" si="12"/>
        <v>9.045226130653267</v>
      </c>
      <c r="H117" s="61">
        <f t="shared" si="16"/>
        <v>101</v>
      </c>
      <c r="I117" s="61">
        <f t="shared" si="14"/>
        <v>181</v>
      </c>
    </row>
    <row r="118" spans="1:9" s="2" customFormat="1" ht="18.75">
      <c r="A118" s="16" t="s">
        <v>15</v>
      </c>
      <c r="B118" s="73">
        <v>244.4</v>
      </c>
      <c r="C118" s="53">
        <v>422.8</v>
      </c>
      <c r="D118" s="72">
        <f>39+5+6.2+39.1+4.9+0.4+0.8+39+0.1+5.5+0.9+39+4.8+1.3+39-0.1+0.8+0.4+5+0.8+5.1+0.2+0.4+2.2+3.5</f>
        <v>243.30000000000007</v>
      </c>
      <c r="E118" s="6">
        <f>D118/D107*100</f>
        <v>0.08443595187740724</v>
      </c>
      <c r="F118" s="6">
        <f t="shared" si="15"/>
        <v>99.54991816693946</v>
      </c>
      <c r="G118" s="6">
        <f t="shared" si="12"/>
        <v>57.544938505203426</v>
      </c>
      <c r="H118" s="61">
        <f t="shared" si="16"/>
        <v>1.0999999999999375</v>
      </c>
      <c r="I118" s="61">
        <f t="shared" si="14"/>
        <v>179.49999999999994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80.23016851623508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f>238.6+80-160</f>
        <v>158.60000000000002</v>
      </c>
      <c r="C121" s="53">
        <v>520</v>
      </c>
      <c r="D121" s="76">
        <f>49.4+11+30.6</f>
        <v>91</v>
      </c>
      <c r="E121" s="17">
        <f>D121/D107*100</f>
        <v>0.031581058860846924</v>
      </c>
      <c r="F121" s="6">
        <f t="shared" si="15"/>
        <v>57.377049180327866</v>
      </c>
      <c r="G121" s="6">
        <f t="shared" si="12"/>
        <v>17.5</v>
      </c>
      <c r="H121" s="61">
        <f t="shared" si="16"/>
        <v>67.60000000000002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26129.2</v>
      </c>
      <c r="C124" s="53">
        <f>33585.8+9933.2-1212.8-350-61.4</f>
        <v>41894.799999999996</v>
      </c>
      <c r="D124" s="76">
        <f>3483.8+2635.6+1853.3+812.9+1333.3+1694.1+1722.4+661.9+934+1328+225+1781.5+1097.2+0.1+1902.6+1343+1822.5+1392</f>
        <v>26023.199999999997</v>
      </c>
      <c r="E124" s="17">
        <f>D124/D107*100</f>
        <v>9.031211109314192</v>
      </c>
      <c r="F124" s="6">
        <f t="shared" si="15"/>
        <v>99.59432359199668</v>
      </c>
      <c r="G124" s="6">
        <f t="shared" si="12"/>
        <v>62.11558475037475</v>
      </c>
      <c r="H124" s="61">
        <f t="shared" si="16"/>
        <v>106.00000000000364</v>
      </c>
      <c r="I124" s="61">
        <f t="shared" si="14"/>
        <v>15871.599999999999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0.005552713645863195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0.0068367786764690595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869.3</v>
      </c>
      <c r="C128" s="53">
        <v>1253.3</v>
      </c>
      <c r="D128" s="76">
        <f>6.5+6.7+0.9+10.2+6.4+2.4+29+2.5+26.7+1.1+7.5+20.9+3.3+0.1+0.6+54.3+6.4+19+6.4-0.2+0.9+1+0.1+24+11.8+60.3+1.8+4+2+10.5+0.5+0.1+1.1+56.8+0.1-0.1+8.7+10.4</f>
        <v>404.70000000000005</v>
      </c>
      <c r="E128" s="17">
        <f>D128/D107*100</f>
        <v>0.1404489507800522</v>
      </c>
      <c r="F128" s="6">
        <f t="shared" si="15"/>
        <v>46.5546991832509</v>
      </c>
      <c r="G128" s="6">
        <f t="shared" si="12"/>
        <v>32.29075241362803</v>
      </c>
      <c r="H128" s="61">
        <f t="shared" si="16"/>
        <v>464.5999999999999</v>
      </c>
      <c r="I128" s="61">
        <f t="shared" si="14"/>
        <v>848.5999999999999</v>
      </c>
    </row>
    <row r="129" spans="1:9" s="32" customFormat="1" ht="18">
      <c r="A129" s="23" t="s">
        <v>89</v>
      </c>
      <c r="B129" s="74">
        <v>242.8</v>
      </c>
      <c r="C129" s="44">
        <v>459.6</v>
      </c>
      <c r="D129" s="75">
        <f>6.4+6.4+6.4+6.4+6.4+24+6.4+56.8+6.4</f>
        <v>125.6</v>
      </c>
      <c r="E129" s="1">
        <f>D129/D128*100</f>
        <v>31.035334815913018</v>
      </c>
      <c r="F129" s="1">
        <f>D129/B129*100</f>
        <v>51.729818780889616</v>
      </c>
      <c r="G129" s="1">
        <f t="shared" si="12"/>
        <v>27.328111401218447</v>
      </c>
      <c r="H129" s="44">
        <f t="shared" si="16"/>
        <v>117.20000000000002</v>
      </c>
      <c r="I129" s="44">
        <f t="shared" si="14"/>
        <v>334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0.32143271117490574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72.1</v>
      </c>
      <c r="C134" s="53">
        <v>108.1</v>
      </c>
      <c r="D134" s="76">
        <f>3.8+10.3+1.3+2</f>
        <v>17.400000000000002</v>
      </c>
      <c r="E134" s="17">
        <f>D134/D107*100</f>
        <v>0.006038576089876226</v>
      </c>
      <c r="F134" s="6">
        <f t="shared" si="15"/>
        <v>24.133148404993072</v>
      </c>
      <c r="G134" s="6">
        <f t="shared" si="12"/>
        <v>16.09620721554117</v>
      </c>
      <c r="H134" s="61">
        <f t="shared" si="16"/>
        <v>54.69999999999999</v>
      </c>
      <c r="I134" s="61">
        <f t="shared" si="14"/>
        <v>90.69999999999999</v>
      </c>
    </row>
    <row r="135" spans="1:9" s="2" customFormat="1" ht="39" customHeight="1">
      <c r="A135" s="16" t="s">
        <v>55</v>
      </c>
      <c r="B135" s="73">
        <v>375</v>
      </c>
      <c r="C135" s="53">
        <v>626.8</v>
      </c>
      <c r="D135" s="76">
        <f>1.2+14.1+4</f>
        <v>19.299999999999997</v>
      </c>
      <c r="E135" s="17">
        <f>D135/D107*100</f>
        <v>0.006697960835322478</v>
      </c>
      <c r="F135" s="6">
        <f t="shared" si="15"/>
        <v>5.1466666666666665</v>
      </c>
      <c r="G135" s="6">
        <f t="shared" si="12"/>
        <v>3.079132099553286</v>
      </c>
      <c r="H135" s="61">
        <f t="shared" si="16"/>
        <v>355.7</v>
      </c>
      <c r="I135" s="61">
        <f t="shared" si="14"/>
        <v>607.5</v>
      </c>
    </row>
    <row r="136" spans="1:9" s="32" customFormat="1" ht="18">
      <c r="A136" s="23" t="s">
        <v>89</v>
      </c>
      <c r="B136" s="74">
        <v>225</v>
      </c>
      <c r="C136" s="44">
        <v>400</v>
      </c>
      <c r="D136" s="75">
        <f>1.2+4</f>
        <v>5.2</v>
      </c>
      <c r="E136" s="1"/>
      <c r="F136" s="6">
        <f>D136/B136*100</f>
        <v>2.3111111111111113</v>
      </c>
      <c r="G136" s="1">
        <f>D136/C136*100</f>
        <v>1.3</v>
      </c>
      <c r="H136" s="44">
        <f>B136-D136</f>
        <v>219.8</v>
      </c>
      <c r="I136" s="44">
        <f>C136-D136</f>
        <v>394.8</v>
      </c>
    </row>
    <row r="137" spans="1:9" s="2" customFormat="1" ht="37.5">
      <c r="A137" s="16" t="s">
        <v>85</v>
      </c>
      <c r="B137" s="73">
        <v>269.8</v>
      </c>
      <c r="C137" s="53">
        <v>381.2</v>
      </c>
      <c r="D137" s="76">
        <f>0.5+1.3+15.9+33.5+3+0.6+15.2+1.3+36.5+1.9+0.3+0.3+0.6+5+2+16.5+0.1+0.5+1.2+18.6-0.1+0.3+0.5+0.5+16+2+17.3+2.1+0.4+0.7+25.9</f>
        <v>220.39999999999998</v>
      </c>
      <c r="E137" s="17">
        <f>D137/D107*100</f>
        <v>0.0764886304717655</v>
      </c>
      <c r="F137" s="6">
        <f>D137/B137*100</f>
        <v>81.69014084507042</v>
      </c>
      <c r="G137" s="6">
        <f>D137/C137*100</f>
        <v>57.817418677859386</v>
      </c>
      <c r="H137" s="61">
        <f t="shared" si="16"/>
        <v>49.400000000000034</v>
      </c>
      <c r="I137" s="61">
        <f t="shared" si="14"/>
        <v>160.8</v>
      </c>
    </row>
    <row r="138" spans="1:9" s="32" customFormat="1" ht="18">
      <c r="A138" s="23" t="s">
        <v>26</v>
      </c>
      <c r="B138" s="74">
        <v>218</v>
      </c>
      <c r="C138" s="44">
        <v>306.1</v>
      </c>
      <c r="D138" s="75">
        <f>15.9+33.5+15.2+36.5+0.3+4.6+16.5-0.1+1.2+16+0.3+16+0.1+16.2+0.3+25.4</f>
        <v>197.9</v>
      </c>
      <c r="E138" s="1">
        <f>D138/D137*100</f>
        <v>89.79128856624321</v>
      </c>
      <c r="F138" s="1">
        <f t="shared" si="15"/>
        <v>90.77981651376147</v>
      </c>
      <c r="G138" s="1">
        <f>D138/C138*100</f>
        <v>64.65207448546226</v>
      </c>
      <c r="H138" s="44">
        <f t="shared" si="16"/>
        <v>20.099999999999994</v>
      </c>
      <c r="I138" s="44">
        <f t="shared" si="14"/>
        <v>108.20000000000002</v>
      </c>
    </row>
    <row r="139" spans="1:9" s="2" customFormat="1" ht="18.75">
      <c r="A139" s="16" t="s">
        <v>101</v>
      </c>
      <c r="B139" s="73">
        <v>1034.6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</f>
        <v>905.6</v>
      </c>
      <c r="E139" s="17">
        <f>D139/D107*100</f>
        <v>0.31428359235585684</v>
      </c>
      <c r="F139" s="6">
        <f t="shared" si="15"/>
        <v>87.5314131065146</v>
      </c>
      <c r="G139" s="6">
        <f t="shared" si="12"/>
        <v>59.87042179029485</v>
      </c>
      <c r="H139" s="61">
        <f t="shared" si="16"/>
        <v>128.9999999999999</v>
      </c>
      <c r="I139" s="61">
        <f t="shared" si="14"/>
        <v>607.0000000000001</v>
      </c>
    </row>
    <row r="140" spans="1:9" s="32" customFormat="1" ht="18">
      <c r="A140" s="33" t="s">
        <v>44</v>
      </c>
      <c r="B140" s="74">
        <v>801</v>
      </c>
      <c r="C140" s="44">
        <f>1063.5+115.2</f>
        <v>1178.7</v>
      </c>
      <c r="D140" s="75">
        <f>26+59.9+27.3+57.1-0.1+46.3+42.7-0.1+36.4+51.8+8.5+28+53.1+4.3+35.3+82.1+45.8+73.5+42.3</f>
        <v>720.1999999999999</v>
      </c>
      <c r="E140" s="1">
        <f>D140/D139*100</f>
        <v>79.52738515901059</v>
      </c>
      <c r="F140" s="1">
        <f aca="true" t="shared" si="17" ref="F140:F148">D140/B140*100</f>
        <v>89.91260923845192</v>
      </c>
      <c r="G140" s="1">
        <f t="shared" si="12"/>
        <v>61.10121320098413</v>
      </c>
      <c r="H140" s="44">
        <f t="shared" si="16"/>
        <v>80.80000000000007</v>
      </c>
      <c r="I140" s="44">
        <f t="shared" si="14"/>
        <v>458.5000000000001</v>
      </c>
    </row>
    <row r="141" spans="1:9" s="32" customFormat="1" ht="18">
      <c r="A141" s="23" t="s">
        <v>26</v>
      </c>
      <c r="B141" s="74">
        <v>24.8</v>
      </c>
      <c r="C141" s="44">
        <v>37.5</v>
      </c>
      <c r="D141" s="75">
        <f>0.4+5.6+0.6+6+0.1+3.7+0.1+0.4+1+0.3+0.3+0.3</f>
        <v>18.8</v>
      </c>
      <c r="E141" s="1">
        <f>D141/D139*100</f>
        <v>2.0759717314487633</v>
      </c>
      <c r="F141" s="1">
        <f t="shared" si="17"/>
        <v>75.80645161290323</v>
      </c>
      <c r="G141" s="1">
        <f>D141/C141*100</f>
        <v>50.13333333333333</v>
      </c>
      <c r="H141" s="44">
        <f t="shared" si="16"/>
        <v>6</v>
      </c>
      <c r="I141" s="44">
        <f t="shared" si="14"/>
        <v>18.7</v>
      </c>
    </row>
    <row r="142" spans="1:9" s="2" customFormat="1" ht="18.75" customHeight="1">
      <c r="A142" s="18" t="s">
        <v>57</v>
      </c>
      <c r="B142" s="73">
        <v>1832.5</v>
      </c>
      <c r="C142" s="53">
        <f>200+300+1250+175</f>
        <v>1925</v>
      </c>
      <c r="D142" s="76">
        <f>300+200+174</f>
        <v>674</v>
      </c>
      <c r="E142" s="17">
        <f>D142/D107*100</f>
        <v>0.23390806233198708</v>
      </c>
      <c r="F142" s="99">
        <f t="shared" si="17"/>
        <v>36.78035470668486</v>
      </c>
      <c r="G142" s="6">
        <f t="shared" si="12"/>
        <v>35.01298701298701</v>
      </c>
      <c r="H142" s="61">
        <f t="shared" si="16"/>
        <v>1158.5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f>27560.6+200</f>
        <v>27760.6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</f>
        <v>24842.399999999994</v>
      </c>
      <c r="E144" s="17">
        <f>D144/D107*100</f>
        <v>8.621420842249488</v>
      </c>
      <c r="F144" s="99">
        <f t="shared" si="17"/>
        <v>89.4879793664402</v>
      </c>
      <c r="G144" s="6">
        <f t="shared" si="12"/>
        <v>42.75999056754788</v>
      </c>
      <c r="H144" s="61">
        <f t="shared" si="16"/>
        <v>2918.2000000000044</v>
      </c>
      <c r="I144" s="61">
        <f t="shared" si="14"/>
        <v>33254.90000000001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125.3</v>
      </c>
      <c r="C146" s="53">
        <v>234</v>
      </c>
      <c r="D146" s="76">
        <f>19.2+57.2</f>
        <v>76.4</v>
      </c>
      <c r="E146" s="17">
        <f>D146/D107*100</f>
        <v>0.02651420765899676</v>
      </c>
      <c r="F146" s="99">
        <f t="shared" si="17"/>
        <v>60.97366320830009</v>
      </c>
      <c r="G146" s="6">
        <f t="shared" si="12"/>
        <v>32.64957264957265</v>
      </c>
      <c r="H146" s="61">
        <f t="shared" si="16"/>
        <v>48.89999999999999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v>7710.8</v>
      </c>
      <c r="C147" s="53">
        <v>10550.8</v>
      </c>
      <c r="D147" s="76">
        <f>1601.8+39.7+92.5+565.2+121.3+853.6+638.8+424+800.9+24.5+1.5+318.7+33.7+748.2+470.6+626.9+12.3+30.7</f>
        <v>7404.899999999999</v>
      </c>
      <c r="E147" s="17">
        <f>D147/D107*100</f>
        <v>2.569830579765773</v>
      </c>
      <c r="F147" s="99">
        <f t="shared" si="17"/>
        <v>96.03283705970844</v>
      </c>
      <c r="G147" s="6">
        <f t="shared" si="12"/>
        <v>70.18330363574326</v>
      </c>
      <c r="H147" s="61">
        <f t="shared" si="16"/>
        <v>305.90000000000146</v>
      </c>
      <c r="I147" s="61">
        <f t="shared" si="14"/>
        <v>3145.9000000000005</v>
      </c>
      <c r="K147" s="38"/>
      <c r="L147" s="38"/>
    </row>
    <row r="148" spans="1:12" s="2" customFormat="1" ht="19.5" customHeight="1">
      <c r="A148" s="16" t="s">
        <v>51</v>
      </c>
      <c r="B148" s="73">
        <f>217793.7+2205.2-402.5-121.3</f>
        <v>219475.10000000003</v>
      </c>
      <c r="C148" s="53">
        <f>376354.8-1000+14285.9-198-200-300-15786.4-2950-2519.8+7938.3-13756.7</f>
        <v>361868.1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</f>
        <v>204200.89999999997</v>
      </c>
      <c r="E148" s="17">
        <f>D148/D107*100</f>
        <v>70.8668202454716</v>
      </c>
      <c r="F148" s="6">
        <f t="shared" si="17"/>
        <v>93.04057726821856</v>
      </c>
      <c r="G148" s="6">
        <f t="shared" si="12"/>
        <v>56.42964936671676</v>
      </c>
      <c r="H148" s="61">
        <f t="shared" si="16"/>
        <v>15274.20000000007</v>
      </c>
      <c r="I148" s="61">
        <f t="shared" si="14"/>
        <v>157667.2</v>
      </c>
      <c r="K148" s="91"/>
      <c r="L148" s="38"/>
    </row>
    <row r="149" spans="1:12" s="2" customFormat="1" ht="18.75">
      <c r="A149" s="16" t="s">
        <v>104</v>
      </c>
      <c r="B149" s="73">
        <v>19656.8</v>
      </c>
      <c r="C149" s="53">
        <v>29485.2</v>
      </c>
      <c r="D149" s="76">
        <f>819+819+819.1+819+819+819.1+819+819+819.1+819+819+819.1+819.1+819+819+819+819.1+819+819+819+819.1+819+819</f>
        <v>18837.7</v>
      </c>
      <c r="E149" s="17">
        <f>D149/D107*100</f>
        <v>6.53752211541732</v>
      </c>
      <c r="F149" s="6">
        <f t="shared" si="15"/>
        <v>95.83299418013105</v>
      </c>
      <c r="G149" s="6">
        <f t="shared" si="12"/>
        <v>63.88866278675403</v>
      </c>
      <c r="H149" s="61">
        <f t="shared" si="16"/>
        <v>819.0999999999985</v>
      </c>
      <c r="I149" s="61">
        <f t="shared" si="14"/>
        <v>10647.5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325951.00000000006</v>
      </c>
      <c r="C150" s="77">
        <f>C43+C69+C72+C77+C79+C87+C102+C107+C100+C84+C98</f>
        <v>535922.8</v>
      </c>
      <c r="D150" s="53">
        <f>D43+D69+D72+D77+D79+D87+D102+D107+D100+D84+D98</f>
        <v>295961.29999999993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1242208.9000000001</v>
      </c>
      <c r="C151" s="47">
        <f>C6+C18+C33+C43+C51+C59+C69+C72+C77+C79+C87+C90+C95+C102+C107+C100+C84+C98+C45</f>
        <v>1879675.5999999996</v>
      </c>
      <c r="D151" s="47">
        <f>D6+D18+D33+D43+D51+D59+D69+D72+D77+D79+D87+D90+D95+D102+D107+D100+D84+D98+D45</f>
        <v>1085328.7999999998</v>
      </c>
      <c r="E151" s="31">
        <v>100</v>
      </c>
      <c r="F151" s="3">
        <f>D151/B151*100</f>
        <v>87.37087618676695</v>
      </c>
      <c r="G151" s="3">
        <f aca="true" t="shared" si="18" ref="G151:G157">D151/C151*100</f>
        <v>57.74021857814189</v>
      </c>
      <c r="H151" s="47">
        <f aca="true" t="shared" si="19" ref="H151:H157">B151-D151</f>
        <v>156880.10000000033</v>
      </c>
      <c r="I151" s="47">
        <f aca="true" t="shared" si="20" ref="I151:I157">C151-D151</f>
        <v>794346.7999999998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491807.69999999995</v>
      </c>
      <c r="C152" s="60">
        <f>C8+C20+C34+C52+C60+C91+C115+C119+C46+C140+C131+C103</f>
        <v>737272.2999999999</v>
      </c>
      <c r="D152" s="60">
        <f>D8+D20+D34+D52+D60+D91+D115+D119+D46+D140+D131+D103</f>
        <v>422521.1</v>
      </c>
      <c r="E152" s="6">
        <f>D152/D151*100</f>
        <v>38.9302393892063</v>
      </c>
      <c r="F152" s="6">
        <f aca="true" t="shared" si="21" ref="F152:F157">D152/B152*100</f>
        <v>85.91185131912331</v>
      </c>
      <c r="G152" s="6">
        <f t="shared" si="18"/>
        <v>57.308690425504935</v>
      </c>
      <c r="H152" s="61">
        <f t="shared" si="19"/>
        <v>69286.59999999998</v>
      </c>
      <c r="I152" s="72">
        <f t="shared" si="20"/>
        <v>314751.19999999995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66073.7</v>
      </c>
      <c r="C153" s="61">
        <f>C11+C23+C36+C55+C62+C92+C49+C141+C109+C112+C96+C138</f>
        <v>102533.9</v>
      </c>
      <c r="D153" s="61">
        <f>D11+D23+D36+D55+D62+D92+D49+D141+D109+D112+D96+D138</f>
        <v>56772.00000000001</v>
      </c>
      <c r="E153" s="6">
        <f>D153/D151*100</f>
        <v>5.230857229624793</v>
      </c>
      <c r="F153" s="6">
        <f t="shared" si="21"/>
        <v>85.92223532207218</v>
      </c>
      <c r="G153" s="6">
        <f t="shared" si="18"/>
        <v>55.36900478768486</v>
      </c>
      <c r="H153" s="61">
        <f t="shared" si="19"/>
        <v>9301.69999999999</v>
      </c>
      <c r="I153" s="72">
        <f t="shared" si="20"/>
        <v>45761.89999999999</v>
      </c>
      <c r="K153" s="39"/>
      <c r="L153" s="90"/>
    </row>
    <row r="154" spans="1:12" ht="18.75">
      <c r="A154" s="18" t="s">
        <v>1</v>
      </c>
      <c r="B154" s="60">
        <f>B22+B10+B54+B48+B61+B35+B123</f>
        <v>20505.100000000002</v>
      </c>
      <c r="C154" s="60">
        <f>C22+C10+C54+C48+C61+C35+C123</f>
        <v>28689.7</v>
      </c>
      <c r="D154" s="60">
        <f>D22+D10+D54+D48+D61+D35+D123</f>
        <v>19282.3</v>
      </c>
      <c r="E154" s="6">
        <f>D154/D151*100</f>
        <v>1.7766321136967897</v>
      </c>
      <c r="F154" s="6">
        <f t="shared" si="21"/>
        <v>94.03660552740536</v>
      </c>
      <c r="G154" s="6">
        <f t="shared" si="18"/>
        <v>67.20983488847914</v>
      </c>
      <c r="H154" s="61">
        <f t="shared" si="19"/>
        <v>1222.800000000003</v>
      </c>
      <c r="I154" s="72">
        <f t="shared" si="20"/>
        <v>9407.400000000001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17100.9</v>
      </c>
      <c r="C155" s="60">
        <f>C12+C24+C104+C63+C38+C93+C129+C56+C136</f>
        <v>26130.600000000002</v>
      </c>
      <c r="D155" s="60">
        <f>D12+D24+D104+D63+D38+D93+D129+D56+D136</f>
        <v>13989.699999999999</v>
      </c>
      <c r="E155" s="6">
        <f>D155/D151*100</f>
        <v>1.2889826566843157</v>
      </c>
      <c r="F155" s="6">
        <f t="shared" si="21"/>
        <v>81.80680548976953</v>
      </c>
      <c r="G155" s="6">
        <f t="shared" si="18"/>
        <v>53.537614903599604</v>
      </c>
      <c r="H155" s="61">
        <f>B155-D155</f>
        <v>3111.2000000000025</v>
      </c>
      <c r="I155" s="72">
        <f t="shared" si="20"/>
        <v>12140.900000000003</v>
      </c>
      <c r="K155" s="39"/>
      <c r="L155" s="90"/>
    </row>
    <row r="156" spans="1:12" ht="18.75">
      <c r="A156" s="18" t="s">
        <v>2</v>
      </c>
      <c r="B156" s="60">
        <f>B9+B21+B47+B53+B122</f>
        <v>53.699999999999996</v>
      </c>
      <c r="C156" s="60">
        <f>C9+C21+C47+C53+C122</f>
        <v>106.9</v>
      </c>
      <c r="D156" s="60">
        <f>D9+D21+D47+D53+D122</f>
        <v>24.700000000000003</v>
      </c>
      <c r="E156" s="6">
        <f>D156/D151*100</f>
        <v>0.0022758080316305994</v>
      </c>
      <c r="F156" s="6">
        <f t="shared" si="21"/>
        <v>45.99627560521416</v>
      </c>
      <c r="G156" s="6">
        <f t="shared" si="18"/>
        <v>23.10570626753976</v>
      </c>
      <c r="H156" s="61">
        <f t="shared" si="19"/>
        <v>28.999999999999993</v>
      </c>
      <c r="I156" s="72">
        <f t="shared" si="20"/>
        <v>82.2</v>
      </c>
      <c r="K156" s="39"/>
      <c r="L156" s="40"/>
    </row>
    <row r="157" spans="1:12" ht="19.5" thickBot="1">
      <c r="A157" s="125" t="s">
        <v>28</v>
      </c>
      <c r="B157" s="78">
        <f>B151-B152-B153-B154-B155-B156</f>
        <v>646667.8000000003</v>
      </c>
      <c r="C157" s="78">
        <f>C151-C152-C153-C154-C155-C156</f>
        <v>984942.1999999998</v>
      </c>
      <c r="D157" s="78">
        <f>D151-D152-D153-D154-D155-D156</f>
        <v>572738.9999999999</v>
      </c>
      <c r="E157" s="36">
        <f>D157/D151*100</f>
        <v>52.771012802756175</v>
      </c>
      <c r="F157" s="36">
        <f t="shared" si="21"/>
        <v>88.56773137614084</v>
      </c>
      <c r="G157" s="36">
        <f t="shared" si="18"/>
        <v>58.149503595236354</v>
      </c>
      <c r="H157" s="126">
        <f t="shared" si="19"/>
        <v>73928.8000000004</v>
      </c>
      <c r="I157" s="126">
        <f t="shared" si="20"/>
        <v>412203.19999999995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1085328.7999999998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1879675.5999999996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1085328.7999999998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2017-08-11T12:44:57Z</cp:lastPrinted>
  <dcterms:created xsi:type="dcterms:W3CDTF">2000-06-20T04:48:00Z</dcterms:created>
  <dcterms:modified xsi:type="dcterms:W3CDTF">2017-08-28T05:55:10Z</dcterms:modified>
  <cp:category/>
  <cp:version/>
  <cp:contentType/>
  <cp:contentStatus/>
</cp:coreProperties>
</file>